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ohde\Desktop\"/>
    </mc:Choice>
  </mc:AlternateContent>
  <xr:revisionPtr revIDLastSave="0" documentId="13_ncr:1_{B10EBC5C-DD04-4BCB-8FC1-78F4D85809BB}" xr6:coauthVersionLast="47" xr6:coauthVersionMax="47" xr10:uidLastSave="{00000000-0000-0000-0000-000000000000}"/>
  <bookViews>
    <workbookView xWindow="3195" yWindow="1095" windowWidth="19560" windowHeight="14145" xr2:uid="{F58B98EC-8F2C-44B6-A5E8-0C7C00BBEE82}"/>
  </bookViews>
  <sheets>
    <sheet name="FTE change" sheetId="2" r:id="rId1"/>
    <sheet name="Sheet1" sheetId="3" state="hidden" r:id="rId2"/>
    <sheet name="Sheet3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B33" i="5"/>
  <c r="B28" i="5"/>
  <c r="AA25" i="5"/>
  <c r="AA24" i="5"/>
  <c r="AA23" i="5"/>
  <c r="AA22" i="5"/>
  <c r="AA21" i="5"/>
  <c r="AA20" i="5"/>
  <c r="AA19" i="5"/>
  <c r="AA18" i="5"/>
  <c r="AA17" i="5"/>
  <c r="C21" i="5"/>
  <c r="C28" i="5" s="1"/>
  <c r="AA16" i="5"/>
  <c r="AA15" i="5"/>
  <c r="T14" i="5"/>
  <c r="AA13" i="5"/>
  <c r="AA12" i="5"/>
  <c r="AA11" i="5"/>
  <c r="AA10" i="5"/>
  <c r="AA9" i="5"/>
  <c r="AA8" i="5"/>
  <c r="U22" i="2"/>
  <c r="U21" i="2"/>
  <c r="U20" i="2"/>
  <c r="U19" i="2"/>
  <c r="U18" i="2"/>
  <c r="U17" i="2"/>
  <c r="C35" i="5" l="1"/>
  <c r="D35" i="5" a="1"/>
  <c r="D35" i="5" s="1"/>
  <c r="D34" i="5" a="1"/>
  <c r="D34" i="5" s="1"/>
  <c r="D33" i="5" a="1"/>
  <c r="D33" i="5" s="1"/>
  <c r="D28" i="5" a="1"/>
  <c r="D28" i="5" s="1"/>
  <c r="C33" i="5"/>
  <c r="C20" i="5"/>
  <c r="B35" i="5" s="1"/>
  <c r="C29" i="5"/>
  <c r="D29" i="5" s="1" a="1"/>
  <c r="D29" i="5" s="1"/>
  <c r="F28" i="5" l="1"/>
  <c r="F29" i="5" s="1"/>
  <c r="G29" i="5" s="1"/>
  <c r="B34" i="5"/>
  <c r="A35" i="5"/>
  <c r="A34" i="5"/>
  <c r="G28" i="5" l="1"/>
  <c r="G30" i="5" s="1"/>
  <c r="F30" i="5"/>
  <c r="AA38" i="3" l="1"/>
  <c r="AA37" i="3"/>
  <c r="AA36" i="3"/>
  <c r="AA35" i="3"/>
  <c r="AA34" i="3"/>
  <c r="AA33" i="3"/>
  <c r="AA19" i="3"/>
  <c r="AA18" i="3"/>
  <c r="AA17" i="3"/>
  <c r="AA16" i="3"/>
  <c r="AA15" i="3"/>
  <c r="AA14" i="3"/>
  <c r="AA13" i="3"/>
  <c r="C13" i="3"/>
  <c r="B29" i="3" s="1"/>
  <c r="C29" i="3" s="1" a="1"/>
  <c r="C29" i="3" s="1"/>
  <c r="AA12" i="3"/>
  <c r="AA11" i="3"/>
  <c r="AA10" i="3"/>
  <c r="AA9" i="3"/>
  <c r="AA8" i="3"/>
  <c r="C21" i="2"/>
  <c r="B22" i="2"/>
  <c r="B21" i="2"/>
  <c r="C13" i="2"/>
  <c r="C16" i="2" s="1"/>
  <c r="C17" i="2" s="1" a="1"/>
  <c r="C17" i="2" s="1"/>
  <c r="U16" i="2"/>
  <c r="U15" i="2"/>
  <c r="U14" i="2"/>
  <c r="U13" i="2"/>
  <c r="U12" i="2"/>
  <c r="U11" i="2"/>
  <c r="U10" i="2"/>
  <c r="U9" i="2"/>
  <c r="U8" i="2"/>
  <c r="U7" i="2"/>
  <c r="U6" i="2"/>
  <c r="C22" i="2" l="1"/>
  <c r="D21" i="2"/>
  <c r="C12" i="3"/>
  <c r="B30" i="3"/>
  <c r="C30" i="3" s="1" a="1"/>
  <c r="C30" i="3" s="1"/>
  <c r="C23" i="2"/>
  <c r="D22" i="2" l="1"/>
  <c r="D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B5" authorId="0" shapeId="0" xr:uid="{6EA4B9C6-71B4-4011-B1B0-D06731B7A75E}">
      <text>
        <r>
          <rPr>
            <sz val="9"/>
            <color indexed="81"/>
            <rFont val="Tahoma"/>
            <family val="2"/>
          </rPr>
          <t xml:space="preserve">
Adjusted Continuous Service Date:
Found in HRS pages:
Job Data, employment data link
OR
Modify a person, UW Personal tab</t>
        </r>
      </text>
    </comment>
    <comment ref="B6" authorId="0" shapeId="0" xr:uid="{13E585E4-B49C-4237-8A9D-26B8CF1687A4}">
      <text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8F7C0F45-B990-4A16-B8D9-035C7C25CD66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7" authorId="0" shapeId="0" xr:uid="{F9622888-AA94-43ED-9A57-4D40EC3555DA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2DD191C6-2967-4BE5-A470-4162CCE82E0E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1" authorId="0" shapeId="0" xr:uid="{2CE733C0-5949-4A88-B18F-59953298C935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<sst xmlns="http://schemas.openxmlformats.org/spreadsheetml/2006/main" count="266" uniqueCount="71">
  <si>
    <t>Notes:</t>
  </si>
  <si>
    <t>2025 has 129 weekdays if you include 6/30 otherwise 128 days if only count to 6/28</t>
  </si>
  <si>
    <t>VN Earnings factor based on full year 2088 hours for 2025</t>
  </si>
  <si>
    <t>End of transition</t>
  </si>
  <si>
    <t>Service Dates VN earnings transition</t>
  </si>
  <si>
    <t>ACSD:</t>
  </si>
  <si>
    <t># years</t>
  </si>
  <si>
    <t>Start - Year</t>
  </si>
  <si>
    <t>Pay periods</t>
  </si>
  <si>
    <t>0-5</t>
  </si>
  <si>
    <t>FLSA</t>
  </si>
  <si>
    <t>years</t>
  </si>
  <si>
    <t>VNA</t>
  </si>
  <si>
    <t>Jan - June</t>
  </si>
  <si>
    <t xml:space="preserve"> VN Factor</t>
  </si>
  <si>
    <t>1/1-1/11/2025</t>
  </si>
  <si>
    <t>5-10</t>
  </si>
  <si>
    <t>Exempt</t>
  </si>
  <si>
    <t>0-5 years</t>
  </si>
  <si>
    <t>NonExempt</t>
  </si>
  <si>
    <t>1/12-1/25/2025</t>
  </si>
  <si>
    <t>Anniversary Date</t>
  </si>
  <si>
    <t>10-15</t>
  </si>
  <si>
    <t>Nonexempt</t>
  </si>
  <si>
    <t>5-10 years</t>
  </si>
  <si>
    <t>1/26-2/8/2025</t>
  </si>
  <si>
    <t>Number of Years</t>
  </si>
  <si>
    <t>15-20</t>
  </si>
  <si>
    <t>Nonexempt Supervisors</t>
  </si>
  <si>
    <t>10-15 years</t>
  </si>
  <si>
    <t>2/9-2/22/2025</t>
  </si>
  <si>
    <t>25 year</t>
  </si>
  <si>
    <t>15-20 years</t>
  </si>
  <si>
    <t>2/23-3/8/2025</t>
  </si>
  <si>
    <t>20-25 years</t>
  </si>
  <si>
    <t>3/9-3/22/2025</t>
  </si>
  <si>
    <t>25+ years</t>
  </si>
  <si>
    <t>3/23-4/5/2025</t>
  </si>
  <si>
    <t>4/6-4/19/2025</t>
  </si>
  <si>
    <t>FTE</t>
  </si>
  <si>
    <t>4/20-5/3/2025</t>
  </si>
  <si>
    <t>5/4-5/17/2025</t>
  </si>
  <si>
    <t>VN Factor</t>
  </si>
  <si>
    <t># Week days</t>
  </si>
  <si>
    <t>VN Earned</t>
  </si>
  <si>
    <t>5/18-5/31/2025</t>
  </si>
  <si>
    <t>6/1-6/14/2025</t>
  </si>
  <si>
    <t>6/15-6/28/2025</t>
  </si>
  <si>
    <t>Nonexempt supervisors</t>
  </si>
  <si>
    <t>6/29-6/30/2025</t>
  </si>
  <si>
    <t>Number of weekdays Jan 1 -June 30</t>
  </si>
  <si>
    <t>Old vacation entitlement</t>
  </si>
  <si>
    <t>New vacation entitlement</t>
  </si>
  <si>
    <t>Effective Date</t>
  </si>
  <si>
    <t>FLSA Status</t>
  </si>
  <si>
    <t>Years of Service</t>
  </si>
  <si>
    <t>Vacation factor</t>
  </si>
  <si>
    <t>This only applies to those University Staff reaching a new vacation threshold between January and June 2025</t>
  </si>
  <si>
    <t>If the employee is not in an anniversary year the result will be errors</t>
  </si>
  <si>
    <t>Instructions: fill the information in the yellow boxes:</t>
  </si>
  <si>
    <t>Vacation Earned</t>
  </si>
  <si>
    <t>Totals:</t>
  </si>
  <si>
    <t>Effective Date 1</t>
  </si>
  <si>
    <t>Effective Date 2</t>
  </si>
  <si>
    <t>Start date</t>
  </si>
  <si>
    <t># week days</t>
  </si>
  <si>
    <t>FTE as of January 1 2025</t>
  </si>
  <si>
    <t>New FTE</t>
  </si>
  <si>
    <t>This is for a University Staff employee that may have a FTE change from January to June 2025, not an anniversary year</t>
  </si>
  <si>
    <t>January 1, 2025 FTE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</si>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</sst>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Nunito Sans"/>
    </font>
    <font>
      <b/>
      <u/>
      <sz val="11"/>
      <color theme="1"/>
      <name val="Aptos Narrow"/>
      <family val="2"/>
      <scheme val="minor"/>
    </font>
    <font>
      <sz val="14"/>
      <name val="Nunito Sans"/>
    </font>
    <font>
      <sz val="9"/>
      <color indexed="81"/>
      <name val="Tahoma"/>
      <charset val="1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2" borderId="0" xfId="0" applyNumberFormat="1" applyFont="1" applyFill="1" applyProtection="1">
      <protection locked="0"/>
    </xf>
    <xf numFmtId="0" fontId="2" fillId="0" borderId="1" xfId="0" applyFont="1" applyBorder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4" fillId="0" borderId="0" xfId="0" applyFont="1" applyAlignment="1">
      <alignment horizontal="right"/>
    </xf>
    <xf numFmtId="16" fontId="0" fillId="0" borderId="0" xfId="0" quotePrefix="1" applyNumberFormat="1"/>
    <xf numFmtId="164" fontId="0" fillId="0" borderId="0" xfId="0" applyNumberFormat="1"/>
    <xf numFmtId="14" fontId="7" fillId="0" borderId="0" xfId="0" applyNumberFormat="1" applyFont="1"/>
    <xf numFmtId="0" fontId="7" fillId="0" borderId="0" xfId="0" applyFont="1"/>
    <xf numFmtId="165" fontId="7" fillId="0" borderId="0" xfId="1" applyNumberFormat="1" applyFont="1"/>
    <xf numFmtId="165" fontId="5" fillId="0" borderId="0" xfId="1" applyNumberFormat="1" applyFont="1"/>
    <xf numFmtId="0" fontId="4" fillId="2" borderId="0" xfId="0" applyFont="1" applyFill="1" applyProtection="1">
      <protection locked="0"/>
    </xf>
    <xf numFmtId="9" fontId="4" fillId="0" borderId="0" xfId="2" applyFont="1" applyFill="1"/>
    <xf numFmtId="0" fontId="4" fillId="0" borderId="1" xfId="0" quotePrefix="1" applyFont="1" applyBorder="1"/>
    <xf numFmtId="164" fontId="4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0" fontId="6" fillId="2" borderId="0" xfId="0" applyFont="1" applyFill="1"/>
    <xf numFmtId="0" fontId="0" fillId="2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9" fontId="4" fillId="2" borderId="0" xfId="2" applyFont="1" applyFill="1"/>
    <xf numFmtId="14" fontId="4" fillId="2" borderId="0" xfId="0" applyNumberFormat="1" applyFont="1" applyFill="1"/>
    <xf numFmtId="0" fontId="13" fillId="0" borderId="0" xfId="0" applyFont="1"/>
    <xf numFmtId="0" fontId="14" fillId="0" borderId="0" xfId="0" applyFont="1"/>
    <xf numFmtId="0" fontId="4" fillId="0" borderId="0" xfId="0" quotePrefix="1" applyFont="1"/>
    <xf numFmtId="16" fontId="4" fillId="0" borderId="0" xfId="0" quotePrefix="1" applyNumberFormat="1" applyFont="1"/>
    <xf numFmtId="9" fontId="4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14" fontId="4" fillId="0" borderId="0" xfId="0" applyNumberFormat="1" applyFont="1" applyProtection="1">
      <protection locked="0"/>
    </xf>
    <xf numFmtId="0" fontId="3" fillId="3" borderId="1" xfId="0" quotePrefix="1" applyFont="1" applyFill="1" applyBorder="1"/>
    <xf numFmtId="43" fontId="3" fillId="3" borderId="0" xfId="1" applyFont="1" applyFill="1"/>
    <xf numFmtId="43" fontId="3" fillId="3" borderId="1" xfId="1" applyFont="1" applyFill="1" applyBorder="1"/>
    <xf numFmtId="43" fontId="3" fillId="3" borderId="0" xfId="0" applyNumberFormat="1" applyFont="1" applyFill="1"/>
    <xf numFmtId="0" fontId="3" fillId="3" borderId="1" xfId="0" applyFont="1" applyFill="1" applyBorder="1"/>
    <xf numFmtId="166" fontId="0" fillId="0" borderId="0" xfId="0" applyNumberFormat="1"/>
    <xf numFmtId="14" fontId="0" fillId="0" borderId="0" xfId="0" applyNumberFormat="1"/>
    <xf numFmtId="0" fontId="4" fillId="2" borderId="0" xfId="0" applyFont="1" applyFill="1" applyAlignment="1" applyProtection="1">
      <alignment horizontal="right"/>
      <protection locked="0"/>
    </xf>
    <xf numFmtId="166" fontId="4" fillId="2" borderId="0" xfId="2" applyNumberFormat="1" applyFont="1" applyFill="1" applyAlignment="1" applyProtection="1">
      <alignment horizontal="right"/>
      <protection locked="0"/>
    </xf>
    <xf numFmtId="166" fontId="0" fillId="0" borderId="0" xfId="2" applyNumberFormat="1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4" fillId="2" borderId="0" xfId="0" applyFont="1" applyFill="1"/>
    <xf numFmtId="0" fontId="4" fillId="2" borderId="0" xfId="0" applyFont="1" applyFill="1"/>
    <xf numFmtId="14" fontId="4" fillId="2" borderId="0" xfId="0" applyNumberFormat="1" applyFont="1" applyFill="1" applyAlignment="1" applyProtection="1">
      <alignment horizontal="right"/>
      <protection locked="0"/>
    </xf>
    <xf numFmtId="165" fontId="7" fillId="2" borderId="0" xfId="1" applyNumberFormat="1" applyFont="1" applyFill="1" applyAlignment="1" applyProtection="1">
      <alignment horizontal="right"/>
      <protection locked="0"/>
    </xf>
    <xf numFmtId="165" fontId="7" fillId="0" borderId="0" xfId="1" applyNumberFormat="1" applyFont="1" applyFill="1" applyAlignment="1">
      <alignment horizontal="right"/>
    </xf>
    <xf numFmtId="9" fontId="4" fillId="2" borderId="0" xfId="2" applyFont="1" applyFill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60D6-E505-441F-B175-046DB393E7FA}">
  <dimension ref="A1:U23"/>
  <sheetViews>
    <sheetView tabSelected="1" workbookViewId="0">
      <selection activeCell="C5" sqref="C5"/>
    </sheetView>
  </sheetViews>
  <sheetFormatPr defaultRowHeight="18.75" x14ac:dyDescent="0.3"/>
  <cols>
    <col min="1" max="1" width="9.140625" style="3"/>
    <col min="2" max="2" width="41" style="12" bestFit="1" customWidth="1"/>
    <col min="3" max="3" width="33.140625" style="3" bestFit="1" customWidth="1"/>
    <col min="4" max="4" width="18.85546875" style="3" bestFit="1" customWidth="1"/>
    <col min="5" max="5" width="19.42578125" style="3" bestFit="1" customWidth="1"/>
    <col min="6" max="13" width="9.140625" style="3"/>
    <col min="14" max="14" width="22.140625" style="3" hidden="1" customWidth="1"/>
    <col min="15" max="15" width="10.85546875" style="3" hidden="1" customWidth="1"/>
    <col min="16" max="16" width="9.140625" style="3" hidden="1" customWidth="1"/>
    <col min="17" max="17" width="22.140625" style="3" hidden="1" customWidth="1"/>
    <col min="18" max="18" width="10.85546875" style="3" hidden="1" customWidth="1"/>
    <col min="19" max="19" width="4.7109375" style="3" hidden="1" customWidth="1"/>
    <col min="20" max="20" width="9.5703125" style="3" hidden="1" customWidth="1"/>
    <col min="21" max="21" width="9.140625" style="3" hidden="1" customWidth="1"/>
    <col min="22" max="22" width="0" style="3" hidden="1" customWidth="1"/>
    <col min="23" max="16384" width="9.140625" style="3"/>
  </cols>
  <sheetData>
    <row r="1" spans="1:21" x14ac:dyDescent="0.3">
      <c r="A1" s="1" t="s">
        <v>68</v>
      </c>
    </row>
    <row r="3" spans="1:21" x14ac:dyDescent="0.3">
      <c r="B3" s="12" t="s">
        <v>3</v>
      </c>
      <c r="C3" s="5">
        <v>45838</v>
      </c>
    </row>
    <row r="5" spans="1:21" x14ac:dyDescent="0.3">
      <c r="B5" s="12" t="s">
        <v>5</v>
      </c>
      <c r="C5" s="56">
        <v>44566</v>
      </c>
      <c r="N5" s="3" t="s">
        <v>10</v>
      </c>
      <c r="O5" s="3" t="s">
        <v>11</v>
      </c>
      <c r="Q5" s="54" t="s">
        <v>10</v>
      </c>
      <c r="R5" s="55" t="s">
        <v>11</v>
      </c>
      <c r="S5" s="34" t="s">
        <v>12</v>
      </c>
      <c r="T5" s="34" t="s">
        <v>13</v>
      </c>
      <c r="U5" s="54" t="s">
        <v>14</v>
      </c>
    </row>
    <row r="6" spans="1:21" ht="22.5" x14ac:dyDescent="0.45">
      <c r="B6" s="12" t="s">
        <v>54</v>
      </c>
      <c r="C6" s="57" t="s">
        <v>28</v>
      </c>
      <c r="N6" s="3" t="s">
        <v>17</v>
      </c>
      <c r="O6" s="3" t="s">
        <v>18</v>
      </c>
      <c r="Q6" s="3" t="s">
        <v>19</v>
      </c>
      <c r="R6" s="3" t="s">
        <v>18</v>
      </c>
      <c r="S6" s="3">
        <v>104</v>
      </c>
      <c r="T6" s="3">
        <v>52</v>
      </c>
      <c r="U6" s="22">
        <f t="shared" ref="U6:U22" si="0">+S6/2088</f>
        <v>4.9808429118773943E-2</v>
      </c>
    </row>
    <row r="7" spans="1:21" ht="22.5" x14ac:dyDescent="0.45">
      <c r="C7" s="58"/>
      <c r="N7" s="3" t="s">
        <v>23</v>
      </c>
      <c r="O7" s="36" t="s">
        <v>24</v>
      </c>
      <c r="Q7" s="3" t="s">
        <v>19</v>
      </c>
      <c r="R7" s="36" t="s">
        <v>24</v>
      </c>
      <c r="S7" s="3">
        <v>144</v>
      </c>
      <c r="T7" s="3">
        <v>72</v>
      </c>
      <c r="U7" s="22">
        <f t="shared" si="0"/>
        <v>6.8965517241379309E-2</v>
      </c>
    </row>
    <row r="8" spans="1:21" x14ac:dyDescent="0.3">
      <c r="B8" s="12" t="s">
        <v>66</v>
      </c>
      <c r="C8" s="59">
        <v>1</v>
      </c>
      <c r="N8" s="3" t="s">
        <v>28</v>
      </c>
      <c r="O8" s="35" t="s">
        <v>29</v>
      </c>
      <c r="Q8" s="3" t="s">
        <v>19</v>
      </c>
      <c r="R8" s="35" t="s">
        <v>29</v>
      </c>
      <c r="S8" s="3">
        <v>160</v>
      </c>
      <c r="T8" s="3">
        <v>80</v>
      </c>
      <c r="U8" s="22">
        <f t="shared" si="0"/>
        <v>7.662835249042145E-2</v>
      </c>
    </row>
    <row r="9" spans="1:21" x14ac:dyDescent="0.3">
      <c r="C9" s="12"/>
      <c r="O9" s="35" t="s">
        <v>32</v>
      </c>
      <c r="Q9" s="3" t="s">
        <v>19</v>
      </c>
      <c r="R9" s="35" t="s">
        <v>32</v>
      </c>
      <c r="S9" s="3">
        <v>184</v>
      </c>
      <c r="T9" s="3">
        <v>92</v>
      </c>
      <c r="U9" s="22">
        <f t="shared" si="0"/>
        <v>8.8122605363984668E-2</v>
      </c>
    </row>
    <row r="10" spans="1:21" x14ac:dyDescent="0.3">
      <c r="B10" s="12" t="s">
        <v>53</v>
      </c>
      <c r="C10" s="56">
        <v>45759</v>
      </c>
      <c r="O10" s="35" t="s">
        <v>34</v>
      </c>
      <c r="Q10" s="3" t="s">
        <v>19</v>
      </c>
      <c r="R10" s="35" t="s">
        <v>34</v>
      </c>
      <c r="S10" s="3">
        <v>200</v>
      </c>
      <c r="T10" s="3">
        <v>100</v>
      </c>
      <c r="U10" s="22">
        <f t="shared" si="0"/>
        <v>9.5785440613026823E-2</v>
      </c>
    </row>
    <row r="11" spans="1:21" x14ac:dyDescent="0.3">
      <c r="B11" s="12" t="s">
        <v>67</v>
      </c>
      <c r="C11" s="59">
        <v>0.6</v>
      </c>
      <c r="O11" s="3" t="s">
        <v>36</v>
      </c>
      <c r="Q11" s="3" t="s">
        <v>19</v>
      </c>
      <c r="R11" s="3" t="s">
        <v>36</v>
      </c>
      <c r="S11" s="3">
        <v>216</v>
      </c>
      <c r="T11" s="3">
        <v>108</v>
      </c>
      <c r="U11" s="22">
        <f t="shared" si="0"/>
        <v>0.10344827586206896</v>
      </c>
    </row>
    <row r="12" spans="1:21" x14ac:dyDescent="0.3">
      <c r="C12" s="41"/>
      <c r="Q12" s="3" t="s">
        <v>17</v>
      </c>
      <c r="R12" s="3" t="s">
        <v>18</v>
      </c>
      <c r="S12" s="3">
        <v>120</v>
      </c>
      <c r="T12" s="3">
        <v>60</v>
      </c>
      <c r="U12" s="22">
        <f t="shared" si="0"/>
        <v>5.7471264367816091E-2</v>
      </c>
    </row>
    <row r="13" spans="1:21" ht="22.5" x14ac:dyDescent="0.45">
      <c r="B13" s="12" t="s">
        <v>26</v>
      </c>
      <c r="C13" s="16">
        <f>DATEDIF(C5,C3,"y")</f>
        <v>3</v>
      </c>
      <c r="Q13" s="3" t="s">
        <v>17</v>
      </c>
      <c r="R13" s="36" t="s">
        <v>24</v>
      </c>
      <c r="S13" s="3">
        <v>160</v>
      </c>
      <c r="T13" s="3">
        <v>80</v>
      </c>
      <c r="U13" s="22">
        <f t="shared" si="0"/>
        <v>7.662835249042145E-2</v>
      </c>
    </row>
    <row r="14" spans="1:21" ht="22.5" x14ac:dyDescent="0.45">
      <c r="B14" s="12" t="s">
        <v>50</v>
      </c>
      <c r="C14" s="17">
        <v>129</v>
      </c>
      <c r="Q14" s="3" t="s">
        <v>17</v>
      </c>
      <c r="R14" s="35" t="s">
        <v>29</v>
      </c>
      <c r="S14" s="3">
        <v>176</v>
      </c>
      <c r="T14" s="3">
        <v>88</v>
      </c>
      <c r="U14" s="22">
        <f t="shared" si="0"/>
        <v>8.4291187739463605E-2</v>
      </c>
    </row>
    <row r="15" spans="1:21" ht="22.5" x14ac:dyDescent="0.45">
      <c r="C15" s="17"/>
      <c r="Q15" s="3" t="s">
        <v>17</v>
      </c>
      <c r="R15" s="35" t="s">
        <v>32</v>
      </c>
      <c r="S15" s="3">
        <v>200</v>
      </c>
      <c r="T15" s="3">
        <v>100</v>
      </c>
      <c r="U15" s="22">
        <f t="shared" si="0"/>
        <v>9.5785440613026823E-2</v>
      </c>
    </row>
    <row r="16" spans="1:21" x14ac:dyDescent="0.3">
      <c r="B16" s="12" t="s">
        <v>55</v>
      </c>
      <c r="C16" s="12" t="str">
        <f>IF(C$13&lt;5, "0-5 years",
    IF(AND(C$13&gt;=5, C$13&lt;10), "5-10 years",
        IF(AND(C$13&gt;=10, C$13&lt;15), "10-15 years",
            IF(AND(C$13&gt;=15, C$13&lt;20), "15-20 years",
                IF(AND(C$13&gt;=20, C$13&lt;25), "20-25 years",
                    "25+ years"
                )
            )
        )
    )
)</f>
        <v>0-5 years</v>
      </c>
      <c r="Q16" s="3" t="s">
        <v>17</v>
      </c>
      <c r="R16" s="35" t="s">
        <v>34</v>
      </c>
      <c r="S16" s="3">
        <v>216</v>
      </c>
      <c r="T16" s="3">
        <v>108</v>
      </c>
      <c r="U16" s="22">
        <f t="shared" si="0"/>
        <v>0.10344827586206896</v>
      </c>
    </row>
    <row r="17" spans="2:21" x14ac:dyDescent="0.3">
      <c r="B17" s="12" t="s">
        <v>56</v>
      </c>
      <c r="C17" s="22" cm="1">
        <f t="array" ref="C17">INDEX($U$6:$U$22, MATCH(1, ($Q$6:$Q$22=C6) * ($R$6:$R$22=C16), 0))</f>
        <v>5.7471264367816091E-2</v>
      </c>
      <c r="Q17" s="3" t="s">
        <v>48</v>
      </c>
      <c r="R17" s="3" t="s">
        <v>18</v>
      </c>
      <c r="S17" s="3">
        <v>120</v>
      </c>
      <c r="T17" s="3">
        <v>60</v>
      </c>
      <c r="U17" s="22">
        <f t="shared" si="0"/>
        <v>5.7471264367816091E-2</v>
      </c>
    </row>
    <row r="18" spans="2:21" x14ac:dyDescent="0.3">
      <c r="Q18" s="3" t="s">
        <v>48</v>
      </c>
      <c r="R18" s="36" t="s">
        <v>24</v>
      </c>
      <c r="S18" s="3">
        <v>160</v>
      </c>
      <c r="T18" s="3">
        <v>80</v>
      </c>
      <c r="U18" s="22">
        <f t="shared" si="0"/>
        <v>7.662835249042145E-2</v>
      </c>
    </row>
    <row r="19" spans="2:21" x14ac:dyDescent="0.3">
      <c r="B19" s="53" t="s">
        <v>61</v>
      </c>
      <c r="Q19" s="3" t="s">
        <v>48</v>
      </c>
      <c r="R19" s="35" t="s">
        <v>29</v>
      </c>
      <c r="S19" s="3">
        <v>176</v>
      </c>
      <c r="T19" s="3">
        <v>88</v>
      </c>
      <c r="U19" s="22">
        <f t="shared" si="0"/>
        <v>8.4291187739463605E-2</v>
      </c>
    </row>
    <row r="20" spans="2:21" x14ac:dyDescent="0.3">
      <c r="B20" s="52" t="s">
        <v>39</v>
      </c>
      <c r="C20" s="52" t="s">
        <v>65</v>
      </c>
      <c r="D20" s="46" t="s">
        <v>60</v>
      </c>
      <c r="Q20" s="3" t="s">
        <v>48</v>
      </c>
      <c r="R20" s="35" t="s">
        <v>32</v>
      </c>
      <c r="S20" s="3">
        <v>200</v>
      </c>
      <c r="T20" s="3">
        <v>100</v>
      </c>
      <c r="U20" s="22">
        <f t="shared" si="0"/>
        <v>9.5785440613026823E-2</v>
      </c>
    </row>
    <row r="21" spans="2:21" x14ac:dyDescent="0.3">
      <c r="B21" s="37">
        <f>+C8</f>
        <v>1</v>
      </c>
      <c r="C21" s="38">
        <f>IF(WEEKDAY(C10, 2) &lt;= 5, NETWORKDAYS("1/1/2025", C10) - 1, NETWORKDAYS("1/1/2025", C10))</f>
        <v>73</v>
      </c>
      <c r="D21" s="43">
        <f>+C21*8*C17*B21</f>
        <v>33.5632183908046</v>
      </c>
      <c r="Q21" s="3" t="s">
        <v>48</v>
      </c>
      <c r="R21" s="35" t="s">
        <v>34</v>
      </c>
      <c r="S21" s="3">
        <v>216</v>
      </c>
      <c r="T21" s="3">
        <v>108</v>
      </c>
      <c r="U21" s="22">
        <f t="shared" si="0"/>
        <v>0.10344827586206896</v>
      </c>
    </row>
    <row r="22" spans="2:21" x14ac:dyDescent="0.3">
      <c r="B22" s="37">
        <f>+C11</f>
        <v>0.6</v>
      </c>
      <c r="C22" s="40">
        <f>+C14-C21</f>
        <v>56</v>
      </c>
      <c r="D22" s="44">
        <f>+C22*8*C17*B22</f>
        <v>15.448275862068964</v>
      </c>
      <c r="Q22" s="3" t="s">
        <v>48</v>
      </c>
      <c r="R22" s="3" t="s">
        <v>36</v>
      </c>
      <c r="S22" s="3">
        <v>216</v>
      </c>
      <c r="T22" s="3">
        <v>108</v>
      </c>
      <c r="U22" s="22">
        <f t="shared" si="0"/>
        <v>0.10344827586206896</v>
      </c>
    </row>
    <row r="23" spans="2:21" x14ac:dyDescent="0.3">
      <c r="B23" s="3"/>
      <c r="C23" s="39">
        <f t="shared" ref="C23:D23" si="1">SUM(C21:C22)</f>
        <v>129</v>
      </c>
      <c r="D23" s="45">
        <f t="shared" si="1"/>
        <v>49.011494252873561</v>
      </c>
    </row>
  </sheetData>
  <sheetProtection sheet="1" objects="1" scenarios="1"/>
  <dataValidations count="1">
    <dataValidation type="list" allowBlank="1" showInputMessage="1" showErrorMessage="1" sqref="C6:C7" xr:uid="{22ABB2F3-E6DE-48C4-8A3F-6DD45DB549C7}">
      <formula1>$N$6:$N$8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73E-3E79-4854-973A-3A114E5078E0}">
  <dimension ref="A1:AE48"/>
  <sheetViews>
    <sheetView workbookViewId="0">
      <selection activeCell="B29" sqref="B29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6.2851562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hidden="1" customWidth="1"/>
    <col min="21" max="21" width="21.42578125" hidden="1" customWidth="1"/>
    <col min="22" max="22" width="9.140625" hidden="1" customWidth="1"/>
    <col min="23" max="24" width="31.42578125" hidden="1" customWidth="1"/>
    <col min="25" max="25" width="9.140625" hidden="1" customWidth="1"/>
    <col min="26" max="26" width="9.5703125" hidden="1" customWidth="1"/>
    <col min="27" max="27" width="12.5703125" hidden="1" customWidth="1"/>
    <col min="28" max="31" width="9.140625" hidden="1" customWidth="1"/>
    <col min="32" max="32" width="0" hidden="1" customWidth="1"/>
  </cols>
  <sheetData>
    <row r="1" spans="1:30" ht="21" x14ac:dyDescent="0.35">
      <c r="A1" s="33" t="s">
        <v>57</v>
      </c>
      <c r="L1" s="34" t="s">
        <v>0</v>
      </c>
      <c r="M1" s="3"/>
      <c r="N1" s="3"/>
    </row>
    <row r="2" spans="1:30" ht="18.75" x14ac:dyDescent="0.3">
      <c r="A2" s="1" t="s">
        <v>58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59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AA8:AA38" si="0">+Y8/2088</f>
        <v>4.9808429118773943E-2</v>
      </c>
      <c r="AD8" t="s">
        <v>20</v>
      </c>
    </row>
    <row r="9" spans="1:30" ht="18.75" x14ac:dyDescent="0.3">
      <c r="A9" s="3"/>
      <c r="B9" s="3" t="s">
        <v>64</v>
      </c>
      <c r="C9" s="7">
        <v>40243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22.5" x14ac:dyDescent="0.45">
      <c r="A10" s="3"/>
      <c r="B10" s="3"/>
      <c r="C10" s="3"/>
      <c r="D10" s="4"/>
      <c r="E10" s="9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22.5" x14ac:dyDescent="0.45">
      <c r="A11" s="3"/>
      <c r="B11" s="12"/>
      <c r="C11" s="5"/>
      <c r="D11" s="4"/>
      <c r="E11" s="9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22.5" x14ac:dyDescent="0.45">
      <c r="A12" s="3"/>
      <c r="B12" s="12" t="s">
        <v>21</v>
      </c>
      <c r="C12" s="15">
        <f>EDATE(C9, 12*C13)</f>
        <v>45722</v>
      </c>
      <c r="D12" s="3"/>
      <c r="E12" s="3"/>
      <c r="F12" s="3"/>
      <c r="G12" s="3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22.5" x14ac:dyDescent="0.45">
      <c r="A13" s="3"/>
      <c r="B13" s="12" t="s">
        <v>26</v>
      </c>
      <c r="C13" s="16">
        <f>DATEDIF(C9,C7,"y")</f>
        <v>15</v>
      </c>
      <c r="D13" s="3"/>
      <c r="E13" s="3"/>
      <c r="F13" s="3"/>
      <c r="G13" s="3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22.5" x14ac:dyDescent="0.45">
      <c r="A14" s="3"/>
      <c r="B14" s="12" t="s">
        <v>50</v>
      </c>
      <c r="C14" s="17">
        <v>129</v>
      </c>
      <c r="D14" s="3"/>
      <c r="E14" s="3"/>
      <c r="F14" s="3"/>
      <c r="G14" s="3"/>
      <c r="H14" s="3"/>
      <c r="I14" s="3"/>
      <c r="W14" t="s">
        <v>17</v>
      </c>
      <c r="X14" t="s">
        <v>18</v>
      </c>
      <c r="Y14">
        <v>120</v>
      </c>
      <c r="Z14">
        <v>60</v>
      </c>
      <c r="AA14" s="14">
        <f t="shared" si="0"/>
        <v>5.7471264367816091E-2</v>
      </c>
      <c r="AD14" t="s">
        <v>38</v>
      </c>
    </row>
    <row r="15" spans="1:30" ht="22.5" x14ac:dyDescent="0.45">
      <c r="A15" s="3"/>
      <c r="B15" s="12"/>
      <c r="C15" s="18"/>
      <c r="D15" s="3"/>
      <c r="E15" s="3"/>
      <c r="F15" s="3"/>
      <c r="G15" s="3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3"/>
      <c r="D16" s="3"/>
      <c r="E16" s="3"/>
      <c r="F16" s="3"/>
      <c r="G16" s="3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0" ht="18.75" x14ac:dyDescent="0.3">
      <c r="A17" s="3"/>
      <c r="B17" s="3" t="s">
        <v>10</v>
      </c>
      <c r="C17" s="19" t="s">
        <v>17</v>
      </c>
      <c r="D17" s="3"/>
      <c r="E17" s="3"/>
      <c r="F17" s="3"/>
      <c r="G17" s="3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0" ht="18.75" x14ac:dyDescent="0.3">
      <c r="A18" s="1"/>
      <c r="B18" s="3"/>
      <c r="C18" s="20"/>
      <c r="D18" s="1"/>
      <c r="E18" s="1"/>
      <c r="F18" s="3"/>
      <c r="G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0" ht="18.75" x14ac:dyDescent="0.3">
      <c r="A19" s="1"/>
      <c r="B19" s="12" t="s">
        <v>62</v>
      </c>
      <c r="C19" s="5">
        <v>45658</v>
      </c>
      <c r="D19" s="1"/>
      <c r="E19" s="1"/>
      <c r="F19" s="3"/>
      <c r="G19" s="3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0" ht="18.75" x14ac:dyDescent="0.3">
      <c r="A20" s="1"/>
      <c r="B20" s="12" t="s">
        <v>39</v>
      </c>
      <c r="C20" s="31">
        <v>1</v>
      </c>
      <c r="D20" s="1"/>
      <c r="E20" s="1"/>
      <c r="F20" s="3"/>
      <c r="G20" s="3"/>
      <c r="H20" s="3"/>
      <c r="I20" s="3"/>
      <c r="AA20" s="14"/>
    </row>
    <row r="21" spans="1:30" ht="18.75" x14ac:dyDescent="0.3">
      <c r="A21" s="1"/>
      <c r="B21" s="12"/>
      <c r="C21" s="3"/>
      <c r="D21" s="1"/>
      <c r="E21" s="1"/>
      <c r="F21" s="3"/>
      <c r="G21" s="3"/>
      <c r="H21" s="3"/>
      <c r="I21" s="3"/>
      <c r="AA21" s="14"/>
    </row>
    <row r="22" spans="1:30" ht="18.75" x14ac:dyDescent="0.3">
      <c r="A22" s="1"/>
      <c r="B22" s="12" t="s">
        <v>63</v>
      </c>
      <c r="C22" s="32">
        <v>45717</v>
      </c>
      <c r="D22" s="1"/>
      <c r="E22" s="1"/>
      <c r="F22" s="3"/>
      <c r="G22" s="3"/>
      <c r="H22" s="3"/>
      <c r="I22" s="3"/>
      <c r="AA22" s="14"/>
    </row>
    <row r="23" spans="1:30" ht="18.75" x14ac:dyDescent="0.3">
      <c r="A23" s="1"/>
      <c r="B23" s="12" t="s">
        <v>39</v>
      </c>
      <c r="C23" s="31">
        <v>0.3</v>
      </c>
      <c r="D23" s="1"/>
      <c r="E23" s="1"/>
      <c r="F23" s="3"/>
      <c r="G23" s="3"/>
      <c r="H23" s="3"/>
      <c r="I23" s="3"/>
      <c r="AA23" s="14"/>
    </row>
    <row r="24" spans="1:30" ht="18.75" x14ac:dyDescent="0.3">
      <c r="A24" s="1"/>
      <c r="B24" s="12"/>
      <c r="C24" s="3"/>
      <c r="D24" s="1"/>
      <c r="E24" s="1"/>
      <c r="F24" s="3"/>
      <c r="G24" s="3"/>
      <c r="H24" s="3"/>
      <c r="I24" s="3"/>
      <c r="AA24" s="14"/>
    </row>
    <row r="25" spans="1:30" ht="18.75" x14ac:dyDescent="0.3">
      <c r="A25" s="1"/>
      <c r="B25" s="3"/>
      <c r="C25" s="20"/>
      <c r="D25" s="1"/>
      <c r="E25" s="1"/>
      <c r="F25" s="3"/>
      <c r="G25" s="3"/>
      <c r="H25" s="3"/>
      <c r="I25" s="3"/>
      <c r="AA25" s="14"/>
    </row>
    <row r="26" spans="1:30" ht="18.75" x14ac:dyDescent="0.3">
      <c r="A26" s="1"/>
      <c r="B26" s="3"/>
      <c r="C26" s="20"/>
      <c r="D26" s="1"/>
      <c r="E26" s="1"/>
      <c r="F26" s="3"/>
      <c r="G26" s="3"/>
      <c r="H26" s="3"/>
      <c r="I26" s="3"/>
      <c r="AA26" s="14"/>
    </row>
    <row r="27" spans="1:30" ht="18.75" x14ac:dyDescent="0.3">
      <c r="A27" s="3"/>
      <c r="B27" s="3"/>
      <c r="C27" s="20"/>
      <c r="D27" s="3"/>
      <c r="E27" s="3"/>
      <c r="F27" s="3"/>
      <c r="G27" s="3"/>
      <c r="H27" s="3"/>
      <c r="I27" s="3"/>
      <c r="AA27" s="14"/>
    </row>
    <row r="28" spans="1:30" ht="18.75" x14ac:dyDescent="0.3">
      <c r="A28" s="3"/>
      <c r="B28" s="28" t="s">
        <v>26</v>
      </c>
      <c r="C28" s="29" t="s">
        <v>42</v>
      </c>
      <c r="D28" s="3"/>
      <c r="E28" s="21"/>
      <c r="F28" s="21"/>
      <c r="G28" s="3"/>
      <c r="H28" s="3"/>
      <c r="I28" s="3"/>
      <c r="AA28" s="14"/>
    </row>
    <row r="29" spans="1:30" ht="18.75" x14ac:dyDescent="0.3">
      <c r="A29" s="3" t="s">
        <v>51</v>
      </c>
      <c r="B29" s="12" t="str">
        <f>IF(C$13=5,"0-5 years",IF(C$13=10,"5-10 years",IF(C$13=15,"10-15 years",IF(C$13=20,"15-20 years",IF($C13=25,"20-25 years")))))</f>
        <v>10-15 years</v>
      </c>
      <c r="C29" s="22" cm="1">
        <f t="array" ref="C29">INDEX($AA$8:$AA$38, MATCH(1, ($W$8:$W$38=C17) * ($X$8:$X$38=B29), 0))</f>
        <v>8.4291187739463605E-2</v>
      </c>
      <c r="E29" s="23"/>
      <c r="F29" s="23"/>
      <c r="G29" s="3"/>
      <c r="H29" s="3"/>
      <c r="I29" s="3"/>
      <c r="AA29" s="14"/>
    </row>
    <row r="30" spans="1:30" ht="18.75" x14ac:dyDescent="0.3">
      <c r="A30" s="3" t="s">
        <v>52</v>
      </c>
      <c r="B30" s="12" t="str">
        <f>IF(C$13=5,"5-10 years",IF(C$13=10,"10-15 years",IF(C$13=15,"15-20 years",IF(C$13=20,"20-25 years",IF($C13=25,"25+ years")))))</f>
        <v>15-20 years</v>
      </c>
      <c r="C30" s="22" cm="1">
        <f t="array" ref="C30">INDEX($AA$8:$AA$38, MATCH(1, ($W$8:$W$38=C17) * ($X$8:$X$38=B30), 0))</f>
        <v>9.5785440613026823E-2</v>
      </c>
      <c r="E30" s="24"/>
      <c r="F30" s="24"/>
      <c r="G30" s="3"/>
      <c r="H30" s="3"/>
      <c r="I30" s="3"/>
      <c r="AA30" s="14"/>
    </row>
    <row r="31" spans="1:30" ht="18.75" x14ac:dyDescent="0.3">
      <c r="E31" s="25"/>
      <c r="F31" s="25"/>
      <c r="G31" s="3"/>
      <c r="H31" s="3"/>
      <c r="I31" s="3"/>
      <c r="AA31" s="14"/>
    </row>
    <row r="32" spans="1:30" ht="18.75" x14ac:dyDescent="0.3">
      <c r="G32" s="3"/>
      <c r="H32" s="3"/>
      <c r="I32" s="3"/>
      <c r="AA32" s="14"/>
    </row>
    <row r="33" spans="1:31" ht="18.75" x14ac:dyDescent="0.3">
      <c r="H33" s="3"/>
      <c r="I33" s="3"/>
      <c r="W33" t="s">
        <v>48</v>
      </c>
      <c r="X33" t="s">
        <v>18</v>
      </c>
      <c r="Y33">
        <v>120</v>
      </c>
      <c r="Z33">
        <v>60</v>
      </c>
      <c r="AA33" s="14">
        <f t="shared" si="0"/>
        <v>5.7471264367816091E-2</v>
      </c>
      <c r="AD33" t="s">
        <v>49</v>
      </c>
    </row>
    <row r="34" spans="1:31" ht="18.75" x14ac:dyDescent="0.3">
      <c r="H34" s="3"/>
      <c r="I34" s="3"/>
      <c r="W34" t="s">
        <v>48</v>
      </c>
      <c r="X34" s="13" t="s">
        <v>24</v>
      </c>
      <c r="Y34">
        <v>160</v>
      </c>
      <c r="Z34">
        <v>80</v>
      </c>
      <c r="AA34" s="14">
        <f t="shared" si="0"/>
        <v>7.662835249042145E-2</v>
      </c>
    </row>
    <row r="35" spans="1:31" ht="18.75" x14ac:dyDescent="0.3">
      <c r="H35" s="3"/>
      <c r="I35" s="3"/>
      <c r="W35" t="s">
        <v>48</v>
      </c>
      <c r="X35" s="10" t="s">
        <v>29</v>
      </c>
      <c r="Y35">
        <v>176</v>
      </c>
      <c r="Z35">
        <v>88</v>
      </c>
      <c r="AA35" s="14">
        <f t="shared" si="0"/>
        <v>8.4291187739463605E-2</v>
      </c>
    </row>
    <row r="36" spans="1:31" x14ac:dyDescent="0.25">
      <c r="W36" t="s">
        <v>48</v>
      </c>
      <c r="X36" s="10" t="s">
        <v>32</v>
      </c>
      <c r="Y36">
        <v>200</v>
      </c>
      <c r="Z36">
        <v>100</v>
      </c>
      <c r="AA36" s="14">
        <f t="shared" si="0"/>
        <v>9.5785440613026823E-2</v>
      </c>
    </row>
    <row r="37" spans="1:31" x14ac:dyDescent="0.25">
      <c r="W37" t="s">
        <v>48</v>
      </c>
      <c r="X37" s="10" t="s">
        <v>34</v>
      </c>
      <c r="Y37">
        <v>216</v>
      </c>
      <c r="Z37">
        <v>108</v>
      </c>
      <c r="AA37" s="14">
        <f t="shared" si="0"/>
        <v>0.10344827586206896</v>
      </c>
    </row>
    <row r="38" spans="1:31" x14ac:dyDescent="0.25">
      <c r="W38" t="s">
        <v>48</v>
      </c>
      <c r="X38" t="s">
        <v>36</v>
      </c>
      <c r="Y38">
        <v>216</v>
      </c>
      <c r="Z38">
        <v>108</v>
      </c>
      <c r="AA38" s="14">
        <f t="shared" si="0"/>
        <v>0.10344827586206896</v>
      </c>
    </row>
    <row r="41" spans="1:31" x14ac:dyDescent="0.25">
      <c r="W41" s="2"/>
      <c r="X41" s="2"/>
      <c r="Y41" s="2"/>
      <c r="Z41" s="2"/>
      <c r="AA41" s="2"/>
      <c r="AB41" s="2"/>
      <c r="AC41" s="2"/>
      <c r="AD41" s="2"/>
      <c r="AE41" s="2"/>
    </row>
    <row r="44" spans="1:31" x14ac:dyDescent="0.25">
      <c r="P44" s="2"/>
    </row>
    <row r="45" spans="1:31" x14ac:dyDescent="0.25">
      <c r="T45" s="2"/>
      <c r="U45" s="2"/>
      <c r="V45" s="2"/>
    </row>
    <row r="48" spans="1:31" s="2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T48"/>
      <c r="U48"/>
      <c r="V48"/>
      <c r="W48"/>
      <c r="X48"/>
      <c r="Y48"/>
      <c r="Z48"/>
      <c r="AA48"/>
      <c r="AB48"/>
      <c r="AC48"/>
      <c r="AD48"/>
      <c r="AE48"/>
    </row>
  </sheetData>
  <dataValidations count="3">
    <dataValidation type="list" allowBlank="1" showInputMessage="1" showErrorMessage="1" sqref="C27 H18:H34" xr:uid="{6FA4C593-95C9-49F5-AD97-3894CB1C8B5D}">
      <formula1>$U$8:$U$13</formula1>
    </dataValidation>
    <dataValidation type="list" allowBlank="1" showInputMessage="1" showErrorMessage="1" sqref="H17" xr:uid="{02CE29E7-51D0-48F0-B168-2E0A981D4132}">
      <formula1>$T$8:$T$9</formula1>
    </dataValidation>
    <dataValidation type="list" allowBlank="1" showInputMessage="1" showErrorMessage="1" sqref="C17" xr:uid="{D5E65095-5A6F-4299-B00F-1EDE255FD7C1}">
      <formula1>$T$8:$T$10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4BF6-CA95-4E5F-A4BF-FA7E8510558B}">
  <dimension ref="A1:AE35"/>
  <sheetViews>
    <sheetView workbookViewId="0">
      <selection activeCell="C33" sqref="C33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12.8554687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customWidth="1"/>
    <col min="21" max="21" width="21.42578125" customWidth="1"/>
    <col min="23" max="24" width="31.42578125" customWidth="1"/>
    <col min="26" max="26" width="9.5703125" customWidth="1"/>
    <col min="27" max="27" width="12.5703125" customWidth="1"/>
  </cols>
  <sheetData>
    <row r="1" spans="1:30" ht="21" x14ac:dyDescent="0.35">
      <c r="A1" s="33" t="s">
        <v>57</v>
      </c>
      <c r="L1" s="34" t="s">
        <v>0</v>
      </c>
      <c r="M1" s="3"/>
      <c r="N1" s="3"/>
    </row>
    <row r="2" spans="1:30" ht="18.75" x14ac:dyDescent="0.3">
      <c r="A2" s="1" t="s">
        <v>58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59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T8:AA25" si="0">+Y8/2088</f>
        <v>4.9808429118773943E-2</v>
      </c>
      <c r="AD8" t="s">
        <v>20</v>
      </c>
    </row>
    <row r="9" spans="1:30" ht="18.75" x14ac:dyDescent="0.3">
      <c r="A9" s="3"/>
      <c r="B9" s="3" t="s">
        <v>5</v>
      </c>
      <c r="C9" s="7">
        <v>43963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18.75" x14ac:dyDescent="0.3">
      <c r="A10" s="3"/>
      <c r="B10" s="3"/>
      <c r="C10" s="41"/>
      <c r="D10" s="3"/>
      <c r="E10" s="3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18.75" x14ac:dyDescent="0.3">
      <c r="A11" s="3"/>
      <c r="B11" s="3" t="s">
        <v>10</v>
      </c>
      <c r="C11" s="49" t="s">
        <v>17</v>
      </c>
      <c r="D11" s="3"/>
      <c r="E11" s="3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18.75" x14ac:dyDescent="0.3">
      <c r="A12" s="3"/>
      <c r="B12" s="3" t="s">
        <v>69</v>
      </c>
      <c r="C12" s="50">
        <v>0.18</v>
      </c>
      <c r="D12" s="3"/>
      <c r="E12" s="3"/>
      <c r="F12" s="6"/>
      <c r="G12" s="6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18.75" x14ac:dyDescent="0.3">
      <c r="A13" s="3"/>
      <c r="B13" s="3" t="s">
        <v>70</v>
      </c>
      <c r="C13" s="41"/>
      <c r="D13" s="3"/>
      <c r="E13" s="3"/>
      <c r="F13" s="6"/>
      <c r="G13" s="6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18.75" x14ac:dyDescent="0.3">
      <c r="A14" s="3"/>
      <c r="B14" s="12" t="s">
        <v>53</v>
      </c>
      <c r="C14" s="32">
        <v>45689</v>
      </c>
      <c r="D14" s="3"/>
      <c r="E14" s="3"/>
      <c r="F14" s="6"/>
      <c r="G14" s="6"/>
      <c r="P14" t="s">
        <v>17</v>
      </c>
      <c r="Q14" t="s">
        <v>18</v>
      </c>
      <c r="R14">
        <v>120</v>
      </c>
      <c r="S14">
        <v>60</v>
      </c>
      <c r="T14" s="14">
        <f t="shared" si="0"/>
        <v>5.7471264367816091E-2</v>
      </c>
      <c r="W14" t="s">
        <v>38</v>
      </c>
    </row>
    <row r="15" spans="1:30" ht="18.75" x14ac:dyDescent="0.3">
      <c r="A15" s="3"/>
      <c r="B15" s="12" t="s">
        <v>67</v>
      </c>
      <c r="C15" s="31">
        <v>0.3</v>
      </c>
      <c r="D15" s="3"/>
      <c r="E15" s="3"/>
      <c r="F15" s="6"/>
      <c r="G15" s="6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41"/>
      <c r="D16" s="3"/>
      <c r="E16" s="3"/>
      <c r="F16" s="6"/>
      <c r="G16" s="6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1" ht="18.75" x14ac:dyDescent="0.3">
      <c r="A17" s="3"/>
      <c r="B17" s="3"/>
      <c r="C17" s="41"/>
      <c r="D17" s="3"/>
      <c r="E17" s="3"/>
      <c r="F17" s="6"/>
      <c r="G17" s="6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1" ht="18.75" x14ac:dyDescent="0.3">
      <c r="A18" s="3"/>
      <c r="B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1" ht="22.5" x14ac:dyDescent="0.45">
      <c r="A19" s="3"/>
      <c r="B19" s="12"/>
      <c r="C19" s="5"/>
      <c r="D19" s="4"/>
      <c r="E19" s="9"/>
      <c r="F19" s="6"/>
      <c r="G19" s="6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1" ht="22.5" x14ac:dyDescent="0.45">
      <c r="A20" s="3"/>
      <c r="B20" s="12" t="s">
        <v>21</v>
      </c>
      <c r="C20" s="15">
        <f>EDATE(C9, 12*C21)</f>
        <v>45789</v>
      </c>
      <c r="D20" s="3"/>
      <c r="E20" s="3"/>
      <c r="F20" s="3"/>
      <c r="G20" s="3"/>
      <c r="H20" s="3"/>
      <c r="I20" s="3"/>
      <c r="W20" t="s">
        <v>48</v>
      </c>
      <c r="X20" t="s">
        <v>18</v>
      </c>
      <c r="Y20">
        <v>120</v>
      </c>
      <c r="Z20">
        <v>60</v>
      </c>
      <c r="AA20" s="14">
        <f t="shared" si="0"/>
        <v>5.7471264367816091E-2</v>
      </c>
      <c r="AD20" t="s">
        <v>49</v>
      </c>
    </row>
    <row r="21" spans="1:31" ht="22.5" x14ac:dyDescent="0.45">
      <c r="A21" s="3"/>
      <c r="B21" s="12" t="s">
        <v>26</v>
      </c>
      <c r="C21" s="16">
        <f>DATEDIF(C9,C7,"y")</f>
        <v>5</v>
      </c>
      <c r="D21" s="3"/>
      <c r="E21" s="3"/>
      <c r="F21" s="3"/>
      <c r="G21" s="3"/>
      <c r="H21" s="3"/>
      <c r="I21" s="3"/>
      <c r="W21" t="s">
        <v>48</v>
      </c>
      <c r="X21" s="13" t="s">
        <v>24</v>
      </c>
      <c r="Y21">
        <v>160</v>
      </c>
      <c r="Z21">
        <v>80</v>
      </c>
      <c r="AA21" s="14">
        <f t="shared" si="0"/>
        <v>7.662835249042145E-2</v>
      </c>
    </row>
    <row r="22" spans="1:31" ht="22.5" x14ac:dyDescent="0.45">
      <c r="A22" s="3"/>
      <c r="B22" s="12" t="s">
        <v>50</v>
      </c>
      <c r="C22" s="17">
        <v>129</v>
      </c>
      <c r="D22" s="3"/>
      <c r="E22" s="3"/>
      <c r="F22" s="3"/>
      <c r="G22" s="3"/>
      <c r="H22" s="3"/>
      <c r="I22" s="3"/>
      <c r="W22" t="s">
        <v>48</v>
      </c>
      <c r="X22" s="10" t="s">
        <v>29</v>
      </c>
      <c r="Y22">
        <v>176</v>
      </c>
      <c r="Z22">
        <v>88</v>
      </c>
      <c r="AA22" s="14">
        <f t="shared" si="0"/>
        <v>8.4291187739463605E-2</v>
      </c>
    </row>
    <row r="23" spans="1:31" ht="22.5" x14ac:dyDescent="0.45">
      <c r="A23" s="3"/>
      <c r="B23" s="12"/>
      <c r="C23" s="18"/>
      <c r="D23" s="3"/>
      <c r="E23" s="3"/>
      <c r="F23" s="3"/>
      <c r="G23" s="3"/>
      <c r="W23" t="s">
        <v>48</v>
      </c>
      <c r="X23" s="10" t="s">
        <v>32</v>
      </c>
      <c r="Y23">
        <v>200</v>
      </c>
      <c r="Z23">
        <v>100</v>
      </c>
      <c r="AA23" s="14">
        <f t="shared" si="0"/>
        <v>9.5785440613026823E-2</v>
      </c>
    </row>
    <row r="24" spans="1:31" ht="18.75" x14ac:dyDescent="0.3">
      <c r="A24" s="1"/>
      <c r="D24" s="1"/>
      <c r="E24" s="1"/>
      <c r="F24" s="1"/>
      <c r="G24" s="1"/>
      <c r="W24" t="s">
        <v>48</v>
      </c>
      <c r="X24" s="10" t="s">
        <v>34</v>
      </c>
      <c r="Y24">
        <v>216</v>
      </c>
      <c r="Z24">
        <v>108</v>
      </c>
      <c r="AA24" s="14">
        <f t="shared" si="0"/>
        <v>0.10344827586206896</v>
      </c>
    </row>
    <row r="25" spans="1:31" ht="18.75" x14ac:dyDescent="0.3">
      <c r="A25" s="1"/>
      <c r="B25" s="3"/>
      <c r="C25" s="20"/>
      <c r="D25" s="1"/>
      <c r="E25" s="1"/>
      <c r="F25" s="3"/>
      <c r="G25" s="3"/>
      <c r="W25" t="s">
        <v>48</v>
      </c>
      <c r="X25" t="s">
        <v>36</v>
      </c>
      <c r="Y25">
        <v>216</v>
      </c>
      <c r="Z25">
        <v>108</v>
      </c>
      <c r="AA25" s="14">
        <f t="shared" si="0"/>
        <v>0.10344827586206896</v>
      </c>
    </row>
    <row r="26" spans="1:31" ht="18.75" x14ac:dyDescent="0.3">
      <c r="A26" s="3"/>
      <c r="C26" s="3"/>
      <c r="D26" s="20"/>
      <c r="E26" s="3"/>
      <c r="F26" s="3"/>
      <c r="G26" s="3"/>
    </row>
    <row r="27" spans="1:31" ht="18.75" x14ac:dyDescent="0.3">
      <c r="A27" s="3"/>
      <c r="B27" s="30" t="s">
        <v>39</v>
      </c>
      <c r="C27" s="28" t="s">
        <v>26</v>
      </c>
      <c r="D27" s="29" t="s">
        <v>42</v>
      </c>
      <c r="E27" s="3"/>
      <c r="F27" s="21" t="s">
        <v>43</v>
      </c>
      <c r="G27" s="42" t="s">
        <v>44</v>
      </c>
    </row>
    <row r="28" spans="1:31" ht="18.75" x14ac:dyDescent="0.3">
      <c r="A28" s="3" t="s">
        <v>51</v>
      </c>
      <c r="B28" s="47">
        <f>+C12</f>
        <v>0.18</v>
      </c>
      <c r="C28" s="12" t="str">
        <f>IF(C$21=5,"0-5 years",IF(C$21=10,"5-10 years",IF(C$21=15,"10-15 years",IF(C$21=20,"15-20 years",IF($C21=25,"20-25 years")))))</f>
        <v>0-5 years</v>
      </c>
      <c r="D28" s="22" t="e" cm="1">
        <f t="array" ref="D28">INDEX($AA$8:$AA$25, MATCH(1, ($W$8:$W$25=C11) * ($X$8:$X$25=C28), 0))</f>
        <v>#N/A</v>
      </c>
      <c r="F28" s="23">
        <f>NETWORKDAYS("1/1/2025", $C$20)-IF(AND(WEEKDAY(C$20, 2) &lt;= 5, C11 &lt;&gt;""),1, 0)</f>
        <v>93</v>
      </c>
      <c r="G28" s="43" t="e">
        <f>+((F28*8)*C$12)*D28</f>
        <v>#N/A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ht="18.75" x14ac:dyDescent="0.3">
      <c r="A29" s="3" t="s">
        <v>52</v>
      </c>
      <c r="C29" s="12" t="str">
        <f>IF(C$21=5,"5-10 years",IF(C$21=10,"10-15 years",IF(C$21=15,"15-20 years",IF(C$21=20,"20-25 years",IF($C21=25,"25+ years")))))</f>
        <v>5-10 years</v>
      </c>
      <c r="D29" s="22" cm="1">
        <f t="array" ref="D29">INDEX($AA$8:$AA$25, MATCH(1, ($W$8:$W$25=C11) * ($X$8:$X$25=C29), 0))</f>
        <v>7.662835249042145E-2</v>
      </c>
      <c r="F29" s="24">
        <f>+C22-F28</f>
        <v>36</v>
      </c>
      <c r="G29" s="44">
        <f>+((F29*8)*C$12)*D29</f>
        <v>3.9724137931034478</v>
      </c>
    </row>
    <row r="30" spans="1:31" ht="18.75" x14ac:dyDescent="0.3">
      <c r="F30" s="25">
        <f>SUM(F28:F29)</f>
        <v>129</v>
      </c>
      <c r="G30" s="45" t="e">
        <f>SUM(G28:G29)</f>
        <v>#N/A</v>
      </c>
    </row>
    <row r="31" spans="1:31" x14ac:dyDescent="0.25">
      <c r="P31" s="2"/>
    </row>
    <row r="32" spans="1:31" ht="18.75" x14ac:dyDescent="0.3">
      <c r="B32" s="30" t="s">
        <v>39</v>
      </c>
      <c r="C32" s="28" t="s">
        <v>26</v>
      </c>
      <c r="D32" s="29" t="s">
        <v>42</v>
      </c>
      <c r="E32" s="3"/>
      <c r="F32" s="21" t="s">
        <v>43</v>
      </c>
      <c r="G32" s="42" t="s">
        <v>44</v>
      </c>
      <c r="T32" s="2"/>
      <c r="U32" s="2"/>
      <c r="V32" s="2"/>
    </row>
    <row r="33" spans="1:31" ht="18.75" x14ac:dyDescent="0.3">
      <c r="A33" s="48">
        <v>45658</v>
      </c>
      <c r="B33" s="47">
        <f>+C12</f>
        <v>0.18</v>
      </c>
      <c r="C33" t="str">
        <f>IF(C$21=5,"0-5 years",IF(C$21=10,"5-10 years",IF(C$21=15,"10-15 years",IF(C$21=20,"15-20 years",IF($C21=25,"20-25 years")))))</f>
        <v>0-5 years</v>
      </c>
      <c r="D33" s="22" t="e" cm="1">
        <f t="array" ref="D33">INDEX($AA$8:$AA$25, MATCH(1, ($W$8:$W$25=C11) * ($X$8:$X$25=C28), 0))</f>
        <v>#N/A</v>
      </c>
    </row>
    <row r="34" spans="1:31" ht="18.75" x14ac:dyDescent="0.3">
      <c r="A34" s="48">
        <f>IF(C14 &lt; C20, C14, C20)</f>
        <v>45689</v>
      </c>
      <c r="B34" s="51">
        <f>IF(C14 &lt; C20, C15, C15)</f>
        <v>0.3</v>
      </c>
      <c r="C34" t="str">
        <f>IF(C$21=5,"0-5 years",IF(C$21=10,"5-10 years",IF(C$21=15,"10-15 years",IF(C$21=20,"15-20 years",IF($C21=25,"20-25 years")))))</f>
        <v>0-5 years</v>
      </c>
      <c r="D34" s="22" t="e" cm="1">
        <f t="array" ref="D34">INDEX($AA$8:$AA$25, MATCH(1, ($W$8:$W$25=C11) * ($X$8:$X$25=C28), 0))</f>
        <v>#N/A</v>
      </c>
    </row>
    <row r="35" spans="1:31" s="2" customFormat="1" x14ac:dyDescent="0.25">
      <c r="A35" s="48">
        <f>IF(C14 &lt; C20, C20, C14)</f>
        <v>45789</v>
      </c>
      <c r="B35" s="51">
        <f>IF(C14 &lt; C20, C15, C15)</f>
        <v>0.3</v>
      </c>
      <c r="C35" t="str">
        <f>IF(C$21=5,"0-5 years",IF(C$21=10,"5-10 years",IF(C$21=15,"10-15 years",IF(C$21=20,"15-20 years",IF($C21=25,"20-25 years")))))</f>
        <v>0-5 years</v>
      </c>
      <c r="D35" t="e" cm="1">
        <f t="array" ref="D35">INDEX($AA$8:$AA$25, MATCH(1, ($W$8:$W$25=C11) * ($X$8:$X$25=C28), 0))</f>
        <v>#N/A</v>
      </c>
      <c r="E35"/>
      <c r="F35"/>
      <c r="G35"/>
      <c r="H35"/>
      <c r="I35"/>
      <c r="J35"/>
      <c r="K35"/>
      <c r="L35"/>
      <c r="M35"/>
      <c r="N35"/>
      <c r="O35"/>
      <c r="P35"/>
      <c r="T35"/>
      <c r="U35"/>
      <c r="V35"/>
      <c r="W35"/>
      <c r="X35"/>
      <c r="Y35"/>
      <c r="Z35"/>
      <c r="AA35"/>
      <c r="AB35"/>
      <c r="AC35"/>
      <c r="AD35"/>
      <c r="AE35"/>
    </row>
  </sheetData>
  <dataValidations count="3">
    <dataValidation type="list" allowBlank="1" showInputMessage="1" showErrorMessage="1" sqref="D26 H18:H21" xr:uid="{14B724A0-0FD4-41E2-AAA6-8F46D3D7AEBF}">
      <formula1>$U$8:$U$13</formula1>
    </dataValidation>
    <dataValidation type="list" allowBlank="1" showInputMessage="1" showErrorMessage="1" sqref="H17" xr:uid="{A6E0E765-8BC9-420C-A0D8-BCB73E56AF07}">
      <formula1>$T$8:$T$9</formula1>
    </dataValidation>
    <dataValidation type="list" allowBlank="1" showInputMessage="1" showErrorMessage="1" sqref="C11" xr:uid="{9701F136-E8F0-4DE3-9D30-96E258DE5242}">
      <formula1>$T$8:$T$10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 change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Wiegmann, Michelle</dc:creator>
  <cp:lastModifiedBy>Michele Rohde</cp:lastModifiedBy>
  <dcterms:created xsi:type="dcterms:W3CDTF">2024-07-09T17:06:11Z</dcterms:created>
  <dcterms:modified xsi:type="dcterms:W3CDTF">2024-10-01T21:10:22Z</dcterms:modified>
</cp:coreProperties>
</file>